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výpočty" sheetId="1" r:id="rId1"/>
  </sheets>
  <definedNames/>
  <calcPr fullCalcOnLoad="1"/>
</workbook>
</file>

<file path=xl/sharedStrings.xml><?xml version="1.0" encoding="utf-8"?>
<sst xmlns="http://schemas.openxmlformats.org/spreadsheetml/2006/main" count="152" uniqueCount="125">
  <si>
    <t>Nájomné</t>
  </si>
  <si>
    <t>Služby s nájmom priestoru</t>
  </si>
  <si>
    <t>Zdravotnícky materiál</t>
  </si>
  <si>
    <t>Prevádzková réžia</t>
  </si>
  <si>
    <t>Odborné podujatia, vzdelávanie</t>
  </si>
  <si>
    <t>Odmeny nezdravot.personálu</t>
  </si>
  <si>
    <t>PHM</t>
  </si>
  <si>
    <t>Poistenie, správne poplatky</t>
  </si>
  <si>
    <t>Odvody</t>
  </si>
  <si>
    <t>Zamestnanec v mzde</t>
  </si>
  <si>
    <t>Zamestnávateľ za zamestnanca</t>
  </si>
  <si>
    <t>Spolu odvody</t>
  </si>
  <si>
    <t>Nezdaniteľná čiastka</t>
  </si>
  <si>
    <t>Základ dane</t>
  </si>
  <si>
    <t>Daň</t>
  </si>
  <si>
    <t>Lekár ako FO</t>
  </si>
  <si>
    <t>%</t>
  </si>
  <si>
    <t>Počet bodov za výkon</t>
  </si>
  <si>
    <t>Doba trvania výkonu v minútach</t>
  </si>
  <si>
    <t>Technické vybavenie</t>
  </si>
  <si>
    <t>Zdravotnícke prístroje</t>
  </si>
  <si>
    <t>Dopravné prostriedky</t>
  </si>
  <si>
    <t>Spolu investičné náklady</t>
  </si>
  <si>
    <t xml:space="preserve">Spolu prevadzkové náklady </t>
  </si>
  <si>
    <t>Spolu prevadzkové náklady</t>
  </si>
  <si>
    <t xml:space="preserve">    Podvojné účt.</t>
  </si>
  <si>
    <t>NÁKLADY</t>
  </si>
  <si>
    <t>A.Investičné</t>
  </si>
  <si>
    <t>B.Prevádzkové</t>
  </si>
  <si>
    <t>C.Mzdové</t>
  </si>
  <si>
    <t>SPOLU ROČNÉ NÁKLADY</t>
  </si>
  <si>
    <t>PO = s.r.o.</t>
  </si>
  <si>
    <t>FO = fyzická osoba</t>
  </si>
  <si>
    <t xml:space="preserve">    Jednoduché účt.</t>
  </si>
  <si>
    <t>Lekár cena práce=HM*1,35*12</t>
  </si>
  <si>
    <t>Odvody lekára FO (2)</t>
  </si>
  <si>
    <t>Sestrička cena práce=HM*1,35*12</t>
  </si>
  <si>
    <t xml:space="preserve">Sestrička ročná CP(cena práce) </t>
  </si>
  <si>
    <t>Spolu ročné mzdové náklady</t>
  </si>
  <si>
    <t>D.Zisk</t>
  </si>
  <si>
    <t>E.Ročná daň PO</t>
  </si>
  <si>
    <t>E.Ročná daň FO</t>
  </si>
  <si>
    <r>
      <t>Odvody</t>
    </r>
    <r>
      <rPr>
        <sz val="10"/>
        <color indexed="8"/>
        <rFont val="Arial"/>
        <family val="2"/>
      </rPr>
      <t xml:space="preserve"> výška určená zákonom</t>
    </r>
  </si>
  <si>
    <t>Podnikateľ fyzická osoba</t>
  </si>
  <si>
    <t>počas roka 48,60 z hrubého zisku, v skutočnosti z rozdielu medzi príjmami  a výdavkami za uplynulý rok</t>
  </si>
  <si>
    <t xml:space="preserve">                                                                </t>
  </si>
  <si>
    <t>mesačne</t>
  </si>
  <si>
    <t>Ročná nezdaniteľná čiastka</t>
  </si>
  <si>
    <t>ročná daň=0,19*(hrubý zisk-nezdaniteľná čiastka)</t>
  </si>
  <si>
    <t>Časť hrubého zisku (A) odpovedajúca ročnému čistému príjmu lekára zamestnanca  v s.r.o.</t>
  </si>
  <si>
    <r>
      <t>a</t>
    </r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b = a </t>
    </r>
    <r>
      <rPr>
        <b/>
        <sz val="12"/>
        <color indexed="10"/>
        <rFont val="Arial"/>
        <family val="2"/>
      </rPr>
      <t>krát</t>
    </r>
    <r>
      <rPr>
        <sz val="12"/>
        <rFont val="Arial"/>
        <family val="2"/>
      </rPr>
      <t xml:space="preserve"> b</t>
    </r>
  </si>
  <si>
    <r>
      <t>a</t>
    </r>
    <r>
      <rPr>
        <b/>
        <sz val="12"/>
        <color indexed="10"/>
        <rFont val="Arial"/>
        <family val="2"/>
      </rPr>
      <t>/</t>
    </r>
    <r>
      <rPr>
        <sz val="12"/>
        <rFont val="Arial"/>
        <family val="2"/>
      </rPr>
      <t xml:space="preserve">b = a </t>
    </r>
    <r>
      <rPr>
        <b/>
        <sz val="12"/>
        <color indexed="10"/>
        <rFont val="Arial"/>
        <family val="2"/>
      </rPr>
      <t>deleno</t>
    </r>
    <r>
      <rPr>
        <sz val="12"/>
        <rFont val="Arial"/>
        <family val="2"/>
      </rPr>
      <t xml:space="preserve"> b</t>
    </r>
  </si>
  <si>
    <r>
      <t>a</t>
    </r>
    <r>
      <rPr>
        <b/>
        <sz val="12"/>
        <color indexed="10"/>
        <rFont val="Arial"/>
        <family val="2"/>
      </rPr>
      <t>+</t>
    </r>
    <r>
      <rPr>
        <sz val="12"/>
        <rFont val="Arial"/>
        <family val="2"/>
      </rPr>
      <t>b = a</t>
    </r>
    <r>
      <rPr>
        <b/>
        <sz val="12"/>
        <color indexed="10"/>
        <rFont val="Arial"/>
        <family val="2"/>
      </rPr>
      <t xml:space="preserve"> plus</t>
    </r>
    <r>
      <rPr>
        <sz val="12"/>
        <rFont val="Arial"/>
        <family val="2"/>
      </rPr>
      <t xml:space="preserve"> b</t>
    </r>
  </si>
  <si>
    <r>
      <t>a</t>
    </r>
    <r>
      <rPr>
        <b/>
        <sz val="12"/>
        <color indexed="10"/>
        <rFont val="Arial"/>
        <family val="2"/>
      </rPr>
      <t>-</t>
    </r>
    <r>
      <rPr>
        <sz val="12"/>
        <rFont val="Arial"/>
        <family val="2"/>
      </rPr>
      <t xml:space="preserve">b = a </t>
    </r>
    <r>
      <rPr>
        <b/>
        <sz val="12"/>
        <color indexed="10"/>
        <rFont val="Arial"/>
        <family val="2"/>
      </rPr>
      <t>mínus</t>
    </r>
    <r>
      <rPr>
        <sz val="12"/>
        <rFont val="Arial"/>
        <family val="2"/>
      </rPr>
      <t xml:space="preserve"> b</t>
    </r>
  </si>
  <si>
    <t>PO = právnická osoba = s.r.o.</t>
  </si>
  <si>
    <t>Ročný efektívny(ordinačný) pracovný fond ambulancie v minútach</t>
  </si>
  <si>
    <t>Náklady na špeciálny zdravotnícky materiál</t>
  </si>
  <si>
    <t>Nákladová cena výkonu</t>
  </si>
  <si>
    <t>Ekonomicky oprávnená výška ceny bodu pre tento výkon</t>
  </si>
  <si>
    <t>PO = právnická osoba =  s.r.o.</t>
  </si>
  <si>
    <t>Služby s nájmom priestoru(energie...)</t>
  </si>
  <si>
    <r>
      <t xml:space="preserve">(2) 48,60% z </t>
    </r>
    <r>
      <rPr>
        <sz val="10"/>
        <color indexed="10"/>
        <rFont val="Arial"/>
        <family val="2"/>
      </rPr>
      <t>hrubého ročného zisku</t>
    </r>
  </si>
  <si>
    <r>
      <t>ročná nezdaniteľná čiastka</t>
    </r>
    <r>
      <rPr>
        <sz val="10"/>
        <color indexed="8"/>
        <rFont val="Arial"/>
        <family val="2"/>
      </rPr>
      <t xml:space="preserve"> (výška určená zákonom)</t>
    </r>
  </si>
  <si>
    <t>Excel: označenie matematických funkcií:</t>
  </si>
  <si>
    <t>Zdravotná sestra v s.r.o. aj zamestnaná u FO</t>
  </si>
  <si>
    <t>(3) % z nákladov, obvykle do 30% z nákladov</t>
  </si>
  <si>
    <t>HRZ -hrubý ročný zisk</t>
  </si>
  <si>
    <t>FO. Časť HRZ A = čistá mzda lekára</t>
  </si>
  <si>
    <t xml:space="preserve">FO. Časť HRZ B = SÚL </t>
  </si>
  <si>
    <t xml:space="preserve">FO. Časť HRZ C = vlastný čistý zisk(3)    </t>
  </si>
  <si>
    <t>PO. Časť HRZ = SÚL</t>
  </si>
  <si>
    <t>PO. Časť HRZ = vlastný čistý zisk(3)</t>
  </si>
  <si>
    <t>Lekár v s.r.o. = PO</t>
  </si>
  <si>
    <t>SÚL - splátky úverov a lízingov</t>
  </si>
  <si>
    <t>Hrubý ročný zisk (HRZ) = časti zisku(A+B+C) +ročná daň</t>
  </si>
  <si>
    <t xml:space="preserve">Odvody lekára FO </t>
  </si>
  <si>
    <r>
      <t xml:space="preserve">48,60% z </t>
    </r>
    <r>
      <rPr>
        <sz val="10"/>
        <color indexed="10"/>
        <rFont val="Arial"/>
        <family val="2"/>
      </rPr>
      <t>hrubého ročného zisku (HRZ)</t>
    </r>
  </si>
  <si>
    <t>Ročná daň FO</t>
  </si>
  <si>
    <t>Ročný základ dane = HZR - nezdaniteľná čiastka</t>
  </si>
  <si>
    <r>
      <t xml:space="preserve">(čistý mesačný príjem=zisk lekára FO </t>
    </r>
    <r>
      <rPr>
        <b/>
        <sz val="11"/>
        <color indexed="10"/>
        <rFont val="Arial"/>
        <family val="2"/>
      </rPr>
      <t>=</t>
    </r>
    <r>
      <rPr>
        <b/>
        <sz val="10"/>
        <color indexed="10"/>
        <rFont val="Arial"/>
        <family val="2"/>
      </rPr>
      <t xml:space="preserve"> čistej mesačnej mzde lekára zamestnanca v s.r.o.)</t>
    </r>
  </si>
  <si>
    <r>
      <t>1. Výpočet  ročných nákladov poskytovanej zdravotnej starostlivosti</t>
    </r>
    <r>
      <rPr>
        <b/>
        <sz val="14"/>
        <color indexed="17"/>
        <rFont val="Arial"/>
        <family val="2"/>
      </rPr>
      <t xml:space="preserve"> </t>
    </r>
  </si>
  <si>
    <t>(v nemocniciach dnes 2-4 tisíc €)</t>
  </si>
  <si>
    <t>Interiérové/exteriérové vybavenie</t>
  </si>
  <si>
    <t>lipp@pobox.sk</t>
  </si>
  <si>
    <t>mobil 903440016</t>
  </si>
  <si>
    <t>Na dnešnej úrovni v nemocnici-https://spravy.pravda.sk/domace/clanok/381979-v-statnych-nemocniciach-platy-stupali-viac/</t>
  </si>
  <si>
    <t>Mesačná cena práce sestry</t>
  </si>
  <si>
    <t>Mesačná cena práce lekára</t>
  </si>
  <si>
    <t>ročné náklady spolu(€) / 94 500 minút</t>
  </si>
  <si>
    <t>2. Mesačné personálne náklady (PN) - zadávame čisté mzdy ostatné sa prepočítava automaticky</t>
  </si>
  <si>
    <t>Mesačné PN spolu</t>
  </si>
  <si>
    <t>Čistá mzda -ČM - lekára</t>
  </si>
  <si>
    <t>Čistá mzda -ČM - sestry</t>
  </si>
  <si>
    <t>(mesačné PN spolu = súčet mesačných cien práce lekára + sestry = mesačná cena práce ambulancie)</t>
  </si>
  <si>
    <t>(=HM * 1,35)</t>
  </si>
  <si>
    <t>(HM * 1,35)</t>
  </si>
  <si>
    <r>
      <t xml:space="preserve">Hrubá mzda - HM </t>
    </r>
    <r>
      <rPr>
        <sz val="10"/>
        <color indexed="8"/>
        <rFont val="Arial"/>
        <family val="2"/>
      </rPr>
      <t xml:space="preserve">  (=ČM * 1,3)</t>
    </r>
  </si>
  <si>
    <r>
      <t>Hrubá mzda - HM</t>
    </r>
    <r>
      <rPr>
        <sz val="10"/>
        <color indexed="8"/>
        <rFont val="Arial"/>
        <family val="2"/>
      </rPr>
      <t xml:space="preserve">  (=ČM * 1,3)</t>
    </r>
  </si>
  <si>
    <t>Odpisy z investičných nákladov (1)</t>
  </si>
  <si>
    <t>Odpisy z investičných nákladov(1)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</si>
  <si>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tu sú počítané ako 1/6 súčtu investičných nákladov</t>
    </r>
  </si>
  <si>
    <t>(© P.Lipták, 10.3.2012 - 21.2.2018, otázky adresujte lipp@pobox.sk)</t>
  </si>
  <si>
    <t>(bezbariérovosť!)</t>
  </si>
  <si>
    <t>Zadávajte údaje do polí podfarbených žltou, výsledky sa objavia v poliach podfarbených zelenou</t>
  </si>
  <si>
    <t>7 hodinová ordinačná doba (8 hod.pracovná doba - 1 hod administratíva a iné činnosti)*225 pracovných  dní (250-25 dní dovolenky)</t>
  </si>
  <si>
    <t>Cena 1 min. ordinačnej doby ambulancie / náklady spolu za 1 min.</t>
  </si>
  <si>
    <t>Výpočet ekonomicky oprávn. výšky ceny b. konkrétneho výkonu:</t>
  </si>
  <si>
    <t>napríklad výkon 159a</t>
  </si>
  <si>
    <t>doba trvania výkonu v min * efektívna nákladová cena ambulancie/1 min+náklady na špeciálny zdravotnícky materiál</t>
  </si>
  <si>
    <t>nákladová cena výkonu/počet bodov za výkon</t>
  </si>
  <si>
    <t xml:space="preserve">ročné náklady spolu </t>
  </si>
  <si>
    <t>pridelený mesačný bodový limit</t>
  </si>
  <si>
    <t>ročný limit bodov</t>
  </si>
  <si>
    <t>Ekonom. oprávnená výška b.podľa sumárn. ročných parametrov</t>
  </si>
  <si>
    <t>ročné náklady spolu / pridelený ročný limit bodov</t>
  </si>
  <si>
    <t>3.Výpočet ekon.oprávnenej nákladovej ceny 1min.ordinačnej doby</t>
  </si>
  <si>
    <t>4.Výpočet ekonomicky oprávnenej výšky ceny bodu</t>
  </si>
  <si>
    <t>5.Výpočet ekonomicky oprávnenej výšky ceny bodu podľa sumárnych ročných parametrov</t>
  </si>
  <si>
    <t>6. Mzdové požiadavky zdravotných sestier:</t>
  </si>
  <si>
    <t>(700-1000€ aby nám sestry neodchádzali do nemocníc)</t>
  </si>
  <si>
    <r>
      <t xml:space="preserve">Kalkulátor ekonomických parametrov pre ambulanciu ŠAS </t>
    </r>
    <r>
      <rPr>
        <sz val="10"/>
        <rFont val="Arial"/>
        <family val="2"/>
      </rPr>
      <t>(verzia 2018.1_1)</t>
    </r>
  </si>
  <si>
    <t>7. Mzdové požiadavky lekára:</t>
  </si>
  <si>
    <t>Priemerné mesačné náklady</t>
  </si>
  <si>
    <t>prístrojový / neprístrojový</t>
  </si>
  <si>
    <t>bodujúci + IPP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</si>
</sst>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  <numFmt numFmtId="181" formatCode="#,##0.000000"/>
    <numFmt numFmtId="182" formatCode="0.000000"/>
    <numFmt numFmtId="183" formatCode="0.0000000"/>
    <numFmt numFmtId="184" formatCode="#,##0.000"/>
    <numFmt numFmtId="185" formatCode="#,##0.00000"/>
    <numFmt numFmtId="186" formatCode="#,##0.0000"/>
  </numFmts>
  <fonts count="9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i/>
      <sz val="9"/>
      <color indexed="10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7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9"/>
      <color indexed="8"/>
      <name val="Arial"/>
      <family val="2"/>
    </font>
    <font>
      <b/>
      <sz val="12"/>
      <color indexed="36"/>
      <name val="Arial"/>
      <family val="2"/>
    </font>
    <font>
      <sz val="10"/>
      <color indexed="36"/>
      <name val="Arial"/>
      <family val="2"/>
    </font>
    <font>
      <b/>
      <u val="single"/>
      <sz val="14"/>
      <color indexed="17"/>
      <name val="Arial"/>
      <family val="2"/>
    </font>
    <font>
      <b/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56"/>
      <name val="Arial"/>
      <family val="2"/>
    </font>
    <font>
      <b/>
      <sz val="12"/>
      <color indexed="48"/>
      <name val="Arial"/>
      <family val="2"/>
    </font>
    <font>
      <b/>
      <sz val="12"/>
      <color indexed="56"/>
      <name val="Arial"/>
      <family val="2"/>
    </font>
    <font>
      <b/>
      <sz val="10"/>
      <color indexed="36"/>
      <name val="Arial"/>
      <family val="2"/>
    </font>
    <font>
      <b/>
      <sz val="10"/>
      <color indexed="3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  <font>
      <i/>
      <sz val="9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u val="single"/>
      <sz val="14"/>
      <color rgb="FF00B050"/>
      <name val="Arial"/>
      <family val="2"/>
    </font>
    <font>
      <b/>
      <sz val="10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2"/>
      <color rgb="FF3333FF"/>
      <name val="Arial"/>
      <family val="2"/>
    </font>
    <font>
      <b/>
      <sz val="12"/>
      <color rgb="FF002060"/>
      <name val="Arial"/>
      <family val="2"/>
    </font>
    <font>
      <b/>
      <sz val="10"/>
      <color rgb="FF7030A0"/>
      <name val="Arial"/>
      <family val="2"/>
    </font>
    <font>
      <b/>
      <sz val="10"/>
      <color rgb="FF0C22C4"/>
      <name val="Arial"/>
      <family val="2"/>
    </font>
    <font>
      <b/>
      <sz val="12"/>
      <color rgb="FFC00000"/>
      <name val="Arial"/>
      <family val="2"/>
    </font>
    <font>
      <b/>
      <sz val="10"/>
      <color rgb="FF0909B7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DDDDD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medium"/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 style="thick">
        <color rgb="FF7030A0"/>
      </right>
      <top style="thick">
        <color rgb="FF0000FF"/>
      </top>
      <bottom style="thick">
        <color rgb="FF7030A0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>
        <color rgb="FF0000FF"/>
      </bottom>
    </border>
    <border>
      <left>
        <color indexed="63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14" fillId="0" borderId="0" xfId="36" applyNumberFormat="1" applyFont="1" applyAlignment="1" applyProtection="1">
      <alignment/>
      <protection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2" fillId="3" borderId="11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35" borderId="0" xfId="0" applyNumberFormat="1" applyFill="1" applyBorder="1" applyAlignment="1">
      <alignment/>
    </xf>
    <xf numFmtId="4" fontId="74" fillId="0" borderId="0" xfId="0" applyNumberFormat="1" applyFont="1" applyAlignment="1">
      <alignment/>
    </xf>
    <xf numFmtId="4" fontId="75" fillId="0" borderId="15" xfId="0" applyNumberFormat="1" applyFont="1" applyBorder="1" applyAlignment="1">
      <alignment/>
    </xf>
    <xf numFmtId="2" fontId="75" fillId="0" borderId="1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16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3" fillId="0" borderId="0" xfId="36" applyNumberFormat="1" applyAlignment="1" applyProtection="1">
      <alignment/>
      <protection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79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7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8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" fillId="35" borderId="19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" borderId="14" xfId="0" applyNumberFormat="1" applyFont="1" applyFill="1" applyBorder="1" applyAlignment="1">
      <alignment/>
    </xf>
    <xf numFmtId="4" fontId="2" fillId="3" borderId="17" xfId="0" applyNumberFormat="1" applyFont="1" applyFill="1" applyBorder="1" applyAlignment="1">
      <alignment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" fillId="7" borderId="0" xfId="0" applyNumberFormat="1" applyFont="1" applyFill="1" applyAlignment="1">
      <alignment/>
    </xf>
    <xf numFmtId="4" fontId="0" fillId="6" borderId="0" xfId="0" applyNumberFormat="1" applyFill="1" applyAlignment="1">
      <alignment/>
    </xf>
    <xf numFmtId="4" fontId="84" fillId="0" borderId="19" xfId="0" applyNumberFormat="1" applyFont="1" applyBorder="1" applyAlignment="1">
      <alignment/>
    </xf>
    <xf numFmtId="4" fontId="77" fillId="0" borderId="21" xfId="0" applyNumberFormat="1" applyFont="1" applyBorder="1" applyAlignment="1">
      <alignment/>
    </xf>
    <xf numFmtId="4" fontId="0" fillId="35" borderId="0" xfId="0" applyNumberFormat="1" applyFont="1" applyFill="1" applyBorder="1" applyAlignment="1">
      <alignment/>
    </xf>
    <xf numFmtId="4" fontId="85" fillId="0" borderId="20" xfId="0" applyNumberFormat="1" applyFont="1" applyBorder="1" applyAlignment="1">
      <alignment/>
    </xf>
    <xf numFmtId="4" fontId="85" fillId="0" borderId="0" xfId="0" applyNumberFormat="1" applyFont="1" applyAlignment="1">
      <alignment horizontal="right"/>
    </xf>
    <xf numFmtId="4" fontId="86" fillId="0" borderId="0" xfId="0" applyNumberFormat="1" applyFont="1" applyAlignment="1">
      <alignment horizontal="left"/>
    </xf>
    <xf numFmtId="4" fontId="87" fillId="0" borderId="0" xfId="0" applyNumberFormat="1" applyFont="1" applyAlignment="1">
      <alignment/>
    </xf>
    <xf numFmtId="0" fontId="87" fillId="0" borderId="0" xfId="0" applyFont="1" applyAlignment="1">
      <alignment horizontal="left"/>
    </xf>
    <xf numFmtId="4" fontId="88" fillId="0" borderId="0" xfId="0" applyNumberFormat="1" applyFont="1" applyAlignment="1">
      <alignment/>
    </xf>
    <xf numFmtId="4" fontId="89" fillId="0" borderId="15" xfId="0" applyNumberFormat="1" applyFont="1" applyBorder="1" applyAlignment="1">
      <alignment horizontal="left"/>
    </xf>
    <xf numFmtId="4" fontId="88" fillId="0" borderId="0" xfId="0" applyNumberFormat="1" applyFont="1" applyAlignment="1">
      <alignment/>
    </xf>
    <xf numFmtId="4" fontId="90" fillId="13" borderId="0" xfId="0" applyNumberFormat="1" applyFont="1" applyFill="1" applyAlignment="1">
      <alignment horizontal="left"/>
    </xf>
    <xf numFmtId="4" fontId="85" fillId="0" borderId="22" xfId="0" applyNumberFormat="1" applyFont="1" applyBorder="1" applyAlignment="1">
      <alignment/>
    </xf>
    <xf numFmtId="4" fontId="81" fillId="0" borderId="23" xfId="0" applyNumberFormat="1" applyFont="1" applyBorder="1" applyAlignment="1">
      <alignment/>
    </xf>
    <xf numFmtId="4" fontId="84" fillId="0" borderId="0" xfId="0" applyNumberFormat="1" applyFont="1" applyAlignment="1">
      <alignment/>
    </xf>
    <xf numFmtId="4" fontId="84" fillId="0" borderId="12" xfId="0" applyNumberFormat="1" applyFont="1" applyBorder="1" applyAlignment="1">
      <alignment/>
    </xf>
    <xf numFmtId="4" fontId="84" fillId="0" borderId="13" xfId="0" applyNumberFormat="1" applyFont="1" applyBorder="1" applyAlignment="1">
      <alignment/>
    </xf>
    <xf numFmtId="4" fontId="84" fillId="0" borderId="20" xfId="0" applyNumberFormat="1" applyFont="1" applyBorder="1" applyAlignment="1">
      <alignment/>
    </xf>
    <xf numFmtId="0" fontId="79" fillId="0" borderId="0" xfId="0" applyFont="1" applyAlignment="1">
      <alignment horizontal="left"/>
    </xf>
    <xf numFmtId="4" fontId="0" fillId="0" borderId="12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4" fontId="2" fillId="6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5" fillId="37" borderId="24" xfId="0" applyNumberFormat="1" applyFont="1" applyFill="1" applyBorder="1" applyAlignment="1">
      <alignment/>
    </xf>
    <xf numFmtId="4" fontId="91" fillId="0" borderId="0" xfId="0" applyNumberFormat="1" applyFont="1" applyBorder="1" applyAlignment="1">
      <alignment/>
    </xf>
    <xf numFmtId="4" fontId="75" fillId="0" borderId="0" xfId="0" applyNumberFormat="1" applyFont="1" applyBorder="1" applyAlignment="1">
      <alignment/>
    </xf>
    <xf numFmtId="3" fontId="79" fillId="37" borderId="24" xfId="0" applyNumberFormat="1" applyFont="1" applyFill="1" applyBorder="1" applyAlignment="1">
      <alignment/>
    </xf>
    <xf numFmtId="4" fontId="2" fillId="38" borderId="25" xfId="0" applyNumberFormat="1" applyFont="1" applyFill="1" applyBorder="1" applyAlignment="1">
      <alignment/>
    </xf>
    <xf numFmtId="4" fontId="2" fillId="38" borderId="26" xfId="0" applyNumberFormat="1" applyFont="1" applyFill="1" applyBorder="1" applyAlignment="1">
      <alignment horizontal="center"/>
    </xf>
    <xf numFmtId="4" fontId="2" fillId="38" borderId="27" xfId="0" applyNumberFormat="1" applyFont="1" applyFill="1" applyBorder="1" applyAlignment="1">
      <alignment/>
    </xf>
    <xf numFmtId="4" fontId="78" fillId="38" borderId="15" xfId="0" applyNumberFormat="1" applyFont="1" applyFill="1" applyBorder="1" applyAlignment="1">
      <alignment/>
    </xf>
    <xf numFmtId="4" fontId="77" fillId="38" borderId="15" xfId="0" applyNumberFormat="1" applyFont="1" applyFill="1" applyBorder="1" applyAlignment="1">
      <alignment/>
    </xf>
    <xf numFmtId="4" fontId="2" fillId="39" borderId="12" xfId="0" applyNumberFormat="1" applyFont="1" applyFill="1" applyBorder="1" applyAlignment="1">
      <alignment/>
    </xf>
    <xf numFmtId="4" fontId="2" fillId="39" borderId="28" xfId="0" applyNumberFormat="1" applyFont="1" applyFill="1" applyBorder="1" applyAlignment="1">
      <alignment horizontal="center"/>
    </xf>
    <xf numFmtId="4" fontId="2" fillId="39" borderId="13" xfId="0" applyNumberFormat="1" applyFont="1" applyFill="1" applyBorder="1" applyAlignment="1">
      <alignment/>
    </xf>
    <xf numFmtId="4" fontId="12" fillId="39" borderId="10" xfId="0" applyNumberFormat="1" applyFont="1" applyFill="1" applyBorder="1" applyAlignment="1">
      <alignment/>
    </xf>
    <xf numFmtId="4" fontId="77" fillId="0" borderId="29" xfId="0" applyNumberFormat="1" applyFont="1" applyBorder="1" applyAlignment="1">
      <alignment/>
    </xf>
    <xf numFmtId="4" fontId="92" fillId="37" borderId="15" xfId="0" applyNumberFormat="1" applyFont="1" applyFill="1" applyBorder="1" applyAlignment="1">
      <alignment/>
    </xf>
    <xf numFmtId="4" fontId="92" fillId="37" borderId="15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92" fillId="0" borderId="0" xfId="0" applyNumberFormat="1" applyFont="1" applyAlignment="1">
      <alignment/>
    </xf>
    <xf numFmtId="4" fontId="93" fillId="0" borderId="0" xfId="0" applyNumberFormat="1" applyFont="1" applyAlignment="1">
      <alignment/>
    </xf>
    <xf numFmtId="4" fontId="0" fillId="36" borderId="30" xfId="0" applyNumberFormat="1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4" fontId="94" fillId="0" borderId="0" xfId="0" applyNumberFormat="1" applyFont="1" applyBorder="1" applyAlignment="1">
      <alignment horizontal="center"/>
    </xf>
    <xf numFmtId="4" fontId="9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181" fontId="79" fillId="37" borderId="24" xfId="0" applyNumberFormat="1" applyFont="1" applyFill="1" applyBorder="1" applyAlignment="1">
      <alignment/>
    </xf>
    <xf numFmtId="0" fontId="79" fillId="37" borderId="31" xfId="0" applyFont="1" applyFill="1" applyBorder="1" applyAlignment="1">
      <alignment/>
    </xf>
    <xf numFmtId="0" fontId="79" fillId="37" borderId="24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0" fillId="36" borderId="32" xfId="0" applyNumberFormat="1" applyFont="1" applyFill="1" applyBorder="1" applyAlignment="1">
      <alignment horizontal="center"/>
    </xf>
    <xf numFmtId="4" fontId="0" fillId="7" borderId="32" xfId="0" applyNumberFormat="1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96" fillId="37" borderId="24" xfId="0" applyNumberFormat="1" applyFont="1" applyFill="1" applyBorder="1" applyAlignment="1">
      <alignment/>
    </xf>
    <xf numFmtId="4" fontId="97" fillId="37" borderId="24" xfId="0" applyNumberFormat="1" applyFont="1" applyFill="1" applyBorder="1" applyAlignment="1">
      <alignment/>
    </xf>
    <xf numFmtId="4" fontId="96" fillId="37" borderId="24" xfId="0" applyNumberFormat="1" applyFont="1" applyFill="1" applyBorder="1" applyAlignment="1">
      <alignment/>
    </xf>
    <xf numFmtId="4" fontId="6" fillId="38" borderId="15" xfId="0" applyNumberFormat="1" applyFont="1" applyFill="1" applyBorder="1" applyAlignment="1">
      <alignment/>
    </xf>
    <xf numFmtId="181" fontId="77" fillId="38" borderId="32" xfId="0" applyNumberFormat="1" applyFont="1" applyFill="1" applyBorder="1" applyAlignment="1">
      <alignment/>
    </xf>
    <xf numFmtId="181" fontId="77" fillId="38" borderId="32" xfId="0" applyNumberFormat="1" applyFont="1" applyFill="1" applyBorder="1" applyAlignment="1">
      <alignment/>
    </xf>
    <xf numFmtId="182" fontId="77" fillId="38" borderId="32" xfId="0" applyNumberFormat="1" applyFont="1" applyFill="1" applyBorder="1" applyAlignment="1">
      <alignment/>
    </xf>
    <xf numFmtId="183" fontId="77" fillId="38" borderId="32" xfId="0" applyNumberFormat="1" applyFont="1" applyFill="1" applyBorder="1" applyAlignment="1">
      <alignment/>
    </xf>
    <xf numFmtId="4" fontId="96" fillId="39" borderId="10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61</xdr:row>
      <xdr:rowOff>85725</xdr:rowOff>
    </xdr:from>
    <xdr:to>
      <xdr:col>3</xdr:col>
      <xdr:colOff>1171575</xdr:colOff>
      <xdr:row>61</xdr:row>
      <xdr:rowOff>95250</xdr:rowOff>
    </xdr:to>
    <xdr:sp>
      <xdr:nvSpPr>
        <xdr:cNvPr id="1" name="Line 1"/>
        <xdr:cNvSpPr>
          <a:spLocks/>
        </xdr:cNvSpPr>
      </xdr:nvSpPr>
      <xdr:spPr>
        <a:xfrm>
          <a:off x="4114800" y="11430000"/>
          <a:ext cx="11239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23</xdr:row>
      <xdr:rowOff>171450</xdr:rowOff>
    </xdr:from>
    <xdr:to>
      <xdr:col>5</xdr:col>
      <xdr:colOff>1095375</xdr:colOff>
      <xdr:row>56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6981825" y="4495800"/>
          <a:ext cx="2266950" cy="6105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pp@pobox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="125" zoomScaleNormal="125" zoomScalePageLayoutView="0" workbookViewId="0" topLeftCell="A1">
      <selection activeCell="I1" sqref="I1"/>
    </sheetView>
  </sheetViews>
  <sheetFormatPr defaultColWidth="9.140625" defaultRowHeight="12.75"/>
  <cols>
    <col min="1" max="1" width="3.421875" style="0" customWidth="1"/>
    <col min="2" max="2" width="32.140625" style="1" customWidth="1"/>
    <col min="3" max="3" width="25.421875" style="1" customWidth="1"/>
    <col min="4" max="4" width="27.421875" style="1" customWidth="1"/>
    <col min="5" max="5" width="33.8515625" style="1" customWidth="1"/>
    <col min="6" max="6" width="38.28125" style="1" customWidth="1"/>
    <col min="7" max="7" width="17.7109375" style="1" customWidth="1"/>
    <col min="8" max="8" width="10.7109375" style="1" customWidth="1"/>
    <col min="9" max="9" width="10.421875" style="1" bestFit="1" customWidth="1"/>
  </cols>
  <sheetData>
    <row r="1" spans="2:7" ht="18">
      <c r="B1" s="47" t="s">
        <v>120</v>
      </c>
      <c r="F1" s="57" t="s">
        <v>124</v>
      </c>
      <c r="G1" s="103" t="s">
        <v>123</v>
      </c>
    </row>
    <row r="2" spans="2:7" ht="12.75">
      <c r="B2" s="57" t="s">
        <v>101</v>
      </c>
      <c r="F2" s="48" t="s">
        <v>83</v>
      </c>
      <c r="G2" s="94" t="s">
        <v>84</v>
      </c>
    </row>
    <row r="3" spans="1:2" ht="12.75">
      <c r="A3" s="74"/>
      <c r="B3" s="43" t="s">
        <v>103</v>
      </c>
    </row>
    <row r="4" spans="2:6" ht="18.75" thickBot="1">
      <c r="B4" s="86" t="s">
        <v>80</v>
      </c>
      <c r="C4" s="2"/>
      <c r="D4" s="2"/>
      <c r="E4" s="2"/>
      <c r="F4" s="28"/>
    </row>
    <row r="5" spans="2:6" ht="12.75">
      <c r="B5" s="108" t="s">
        <v>26</v>
      </c>
      <c r="C5" s="109" t="s">
        <v>31</v>
      </c>
      <c r="D5" s="109" t="s">
        <v>32</v>
      </c>
      <c r="E5" s="110" t="s">
        <v>26</v>
      </c>
      <c r="F5" s="91" t="s">
        <v>63</v>
      </c>
    </row>
    <row r="6" spans="2:6" ht="16.5" thickBot="1">
      <c r="B6" s="113" t="s">
        <v>27</v>
      </c>
      <c r="C6" s="114" t="s">
        <v>25</v>
      </c>
      <c r="D6" s="114" t="s">
        <v>33</v>
      </c>
      <c r="E6" s="115" t="s">
        <v>27</v>
      </c>
      <c r="F6" s="46" t="s">
        <v>50</v>
      </c>
    </row>
    <row r="7" spans="2:7" ht="17.25" thickBot="1" thickTop="1">
      <c r="B7" s="95" t="s">
        <v>82</v>
      </c>
      <c r="C7" s="142">
        <v>7000</v>
      </c>
      <c r="D7" s="142">
        <v>7000</v>
      </c>
      <c r="E7" s="96" t="s">
        <v>82</v>
      </c>
      <c r="F7" s="46" t="s">
        <v>51</v>
      </c>
      <c r="G7" s="94" t="s">
        <v>102</v>
      </c>
    </row>
    <row r="8" spans="2:7" ht="17.25" thickBot="1" thickTop="1">
      <c r="B8" s="95" t="s">
        <v>19</v>
      </c>
      <c r="C8" s="142">
        <v>3000</v>
      </c>
      <c r="D8" s="142">
        <v>3000</v>
      </c>
      <c r="E8" s="96" t="s">
        <v>19</v>
      </c>
      <c r="F8" s="46" t="s">
        <v>52</v>
      </c>
      <c r="G8" s="94"/>
    </row>
    <row r="9" spans="2:6" ht="17.25" thickBot="1" thickTop="1">
      <c r="B9" s="95" t="s">
        <v>20</v>
      </c>
      <c r="C9" s="143">
        <v>25000</v>
      </c>
      <c r="D9" s="143">
        <v>25000</v>
      </c>
      <c r="E9" s="96" t="s">
        <v>20</v>
      </c>
      <c r="F9" s="46" t="s">
        <v>53</v>
      </c>
    </row>
    <row r="10" spans="2:5" ht="14.25" thickBot="1" thickTop="1">
      <c r="B10" s="95" t="s">
        <v>21</v>
      </c>
      <c r="C10" s="104">
        <v>16600</v>
      </c>
      <c r="D10" s="104">
        <v>16600</v>
      </c>
      <c r="E10" s="96" t="s">
        <v>21</v>
      </c>
    </row>
    <row r="11" spans="2:5" ht="13.5" thickTop="1">
      <c r="B11" s="113" t="s">
        <v>22</v>
      </c>
      <c r="C11" s="116">
        <f>SUM(C7:C10)</f>
        <v>51600</v>
      </c>
      <c r="D11" s="116">
        <f>SUM(D7:D10)</f>
        <v>51600</v>
      </c>
      <c r="E11" s="115" t="s">
        <v>22</v>
      </c>
    </row>
    <row r="12" spans="2:5" ht="13.5" thickBot="1">
      <c r="B12" s="20" t="s">
        <v>28</v>
      </c>
      <c r="C12" s="26"/>
      <c r="D12" s="26"/>
      <c r="E12" s="21" t="s">
        <v>28</v>
      </c>
    </row>
    <row r="13" spans="2:5" ht="14.25" thickBot="1" thickTop="1">
      <c r="B13" s="95" t="s">
        <v>0</v>
      </c>
      <c r="C13" s="104">
        <v>8400</v>
      </c>
      <c r="D13" s="104">
        <v>8400</v>
      </c>
      <c r="E13" s="96" t="s">
        <v>0</v>
      </c>
    </row>
    <row r="14" spans="2:5" ht="14.25" thickBot="1" thickTop="1">
      <c r="B14" s="95" t="s">
        <v>60</v>
      </c>
      <c r="C14" s="104">
        <v>3000</v>
      </c>
      <c r="D14" s="104">
        <v>3000</v>
      </c>
      <c r="E14" s="96" t="s">
        <v>1</v>
      </c>
    </row>
    <row r="15" spans="2:5" ht="14.25" thickBot="1" thickTop="1">
      <c r="B15" s="95" t="s">
        <v>2</v>
      </c>
      <c r="C15" s="104">
        <v>2000</v>
      </c>
      <c r="D15" s="104">
        <v>2000</v>
      </c>
      <c r="E15" s="96" t="s">
        <v>2</v>
      </c>
    </row>
    <row r="16" spans="2:5" ht="14.25" thickBot="1" thickTop="1">
      <c r="B16" s="95" t="s">
        <v>3</v>
      </c>
      <c r="C16" s="104">
        <v>4400</v>
      </c>
      <c r="D16" s="104">
        <v>4400</v>
      </c>
      <c r="E16" s="96" t="s">
        <v>3</v>
      </c>
    </row>
    <row r="17" spans="2:5" ht="14.25" thickBot="1" thickTop="1">
      <c r="B17" s="95" t="s">
        <v>4</v>
      </c>
      <c r="C17" s="104">
        <v>1500</v>
      </c>
      <c r="D17" s="104">
        <v>1500</v>
      </c>
      <c r="E17" s="96" t="s">
        <v>4</v>
      </c>
    </row>
    <row r="18" spans="2:5" ht="14.25" thickBot="1" thickTop="1">
      <c r="B18" s="95" t="s">
        <v>5</v>
      </c>
      <c r="C18" s="104">
        <v>2000</v>
      </c>
      <c r="D18" s="104">
        <v>2000</v>
      </c>
      <c r="E18" s="96" t="s">
        <v>5</v>
      </c>
    </row>
    <row r="19" spans="2:6" ht="14.25" thickBot="1" thickTop="1">
      <c r="B19" s="95" t="s">
        <v>6</v>
      </c>
      <c r="C19" s="104">
        <v>1500</v>
      </c>
      <c r="D19" s="104">
        <v>1500</v>
      </c>
      <c r="E19" s="96" t="s">
        <v>6</v>
      </c>
      <c r="F19" s="94"/>
    </row>
    <row r="20" spans="2:5" ht="14.25" thickBot="1" thickTop="1">
      <c r="B20" s="95" t="s">
        <v>7</v>
      </c>
      <c r="C20" s="104">
        <v>1000</v>
      </c>
      <c r="D20" s="104">
        <v>1000</v>
      </c>
      <c r="E20" s="96" t="s">
        <v>7</v>
      </c>
    </row>
    <row r="21" spans="2:6" ht="16.5" thickTop="1">
      <c r="B21" s="113" t="s">
        <v>98</v>
      </c>
      <c r="C21" s="149">
        <f>C11/6</f>
        <v>8600</v>
      </c>
      <c r="D21" s="149">
        <f>D11/6</f>
        <v>8600</v>
      </c>
      <c r="E21" s="115" t="s">
        <v>99</v>
      </c>
      <c r="F21" s="57" t="s">
        <v>100</v>
      </c>
    </row>
    <row r="22" spans="2:5" ht="12.75">
      <c r="B22" s="20" t="s">
        <v>23</v>
      </c>
      <c r="C22" s="24">
        <f>SUM(C13:C21)</f>
        <v>32400</v>
      </c>
      <c r="D22" s="24">
        <f>SUM(D13:D21)</f>
        <v>32400</v>
      </c>
      <c r="E22" s="21" t="s">
        <v>24</v>
      </c>
    </row>
    <row r="23" spans="2:5" ht="12.75">
      <c r="B23" s="22" t="s">
        <v>29</v>
      </c>
      <c r="C23" s="27"/>
      <c r="D23" s="27"/>
      <c r="E23" s="23" t="s">
        <v>29</v>
      </c>
    </row>
    <row r="24" spans="2:6" ht="13.5" customHeight="1">
      <c r="B24" s="99" t="s">
        <v>34</v>
      </c>
      <c r="C24" s="3">
        <f>C56*1.35*12</f>
        <v>46332.00000000001</v>
      </c>
      <c r="D24" s="3">
        <f>D56*0.486</f>
        <v>23736.8564424</v>
      </c>
      <c r="E24" s="30" t="s">
        <v>35</v>
      </c>
      <c r="F24" s="71" t="s">
        <v>61</v>
      </c>
    </row>
    <row r="25" spans="2:5" ht="12.75">
      <c r="B25" s="29" t="s">
        <v>36</v>
      </c>
      <c r="C25" s="3">
        <f>C48*1.35*12</f>
        <v>18954</v>
      </c>
      <c r="D25" s="7">
        <f>C48*1.35*12</f>
        <v>18954</v>
      </c>
      <c r="E25" s="30" t="s">
        <v>37</v>
      </c>
    </row>
    <row r="26" spans="2:5" ht="12.75">
      <c r="B26" s="22" t="s">
        <v>38</v>
      </c>
      <c r="C26" s="25">
        <f>SUM(C24:C25)</f>
        <v>65286.00000000001</v>
      </c>
      <c r="D26" s="25">
        <f>SUM(D24:D25)</f>
        <v>42690.8564424</v>
      </c>
      <c r="E26" s="23" t="s">
        <v>38</v>
      </c>
    </row>
    <row r="27" spans="2:5" ht="12.75">
      <c r="B27" s="69" t="s">
        <v>39</v>
      </c>
      <c r="C27" s="31"/>
      <c r="D27" s="31"/>
      <c r="E27" s="70" t="s">
        <v>39</v>
      </c>
    </row>
    <row r="28" spans="2:6" ht="13.5" thickBot="1">
      <c r="B28" s="32"/>
      <c r="C28" s="49"/>
      <c r="D28" s="4">
        <f>D61</f>
        <v>26400</v>
      </c>
      <c r="E28" s="50" t="s">
        <v>67</v>
      </c>
      <c r="F28" s="57" t="s">
        <v>66</v>
      </c>
    </row>
    <row r="29" spans="2:6" ht="17.25" thickBot="1" thickTop="1">
      <c r="B29" s="80" t="s">
        <v>70</v>
      </c>
      <c r="C29" s="141">
        <v>15225</v>
      </c>
      <c r="D29" s="141">
        <v>15225</v>
      </c>
      <c r="E29" s="97" t="s">
        <v>68</v>
      </c>
      <c r="F29" s="103" t="s">
        <v>73</v>
      </c>
    </row>
    <row r="30" spans="2:6" ht="17.25" thickBot="1" thickTop="1">
      <c r="B30" s="92" t="s">
        <v>71</v>
      </c>
      <c r="C30" s="93">
        <v>0</v>
      </c>
      <c r="D30" s="93">
        <v>0</v>
      </c>
      <c r="E30" s="83" t="s">
        <v>69</v>
      </c>
      <c r="F30" s="84" t="s">
        <v>65</v>
      </c>
    </row>
    <row r="31" spans="2:6" ht="14.25" thickBot="1" thickTop="1">
      <c r="B31" s="67" t="s">
        <v>40</v>
      </c>
      <c r="C31" s="82">
        <f>0.19*(C29+C30)</f>
        <v>2892.75</v>
      </c>
      <c r="D31" s="33">
        <f>D60</f>
        <v>7216.2684</v>
      </c>
      <c r="E31" s="68" t="s">
        <v>41</v>
      </c>
      <c r="F31" s="5"/>
    </row>
    <row r="32" spans="2:7" ht="13.5" thickBot="1">
      <c r="B32" s="111" t="s">
        <v>30</v>
      </c>
      <c r="C32" s="111">
        <f>C22+C26+C29+C30+C31</f>
        <v>115803.75</v>
      </c>
      <c r="D32" s="111">
        <f>D22+D26+D28+D29+D30+D31</f>
        <v>123932.1248424</v>
      </c>
      <c r="E32" s="111" t="s">
        <v>30</v>
      </c>
      <c r="G32" s="57"/>
    </row>
    <row r="33" spans="2:5" ht="16.5" thickBot="1">
      <c r="B33" s="140" t="s">
        <v>122</v>
      </c>
      <c r="C33" s="144">
        <f>C32/12</f>
        <v>9650.3125</v>
      </c>
      <c r="D33" s="144">
        <f>D32/12</f>
        <v>10327.6770702</v>
      </c>
      <c r="E33" s="140" t="s">
        <v>122</v>
      </c>
    </row>
    <row r="35" ht="12.75">
      <c r="D35" s="12"/>
    </row>
    <row r="36" spans="2:3" ht="18.75" thickBot="1">
      <c r="B36" s="34" t="s">
        <v>42</v>
      </c>
      <c r="C36" s="6" t="s">
        <v>16</v>
      </c>
    </row>
    <row r="37" spans="2:3" ht="16.5" thickBot="1">
      <c r="B37" s="1" t="s">
        <v>9</v>
      </c>
      <c r="C37" s="35">
        <v>13.4</v>
      </c>
    </row>
    <row r="38" spans="2:3" ht="16.5" thickBot="1">
      <c r="B38" s="1" t="s">
        <v>10</v>
      </c>
      <c r="C38" s="36">
        <v>35.2</v>
      </c>
    </row>
    <row r="39" spans="2:3" ht="12.75">
      <c r="B39" s="1" t="s">
        <v>11</v>
      </c>
      <c r="C39" s="18">
        <f>SUM(C37:C38)</f>
        <v>48.6</v>
      </c>
    </row>
    <row r="40" ht="12.75" customHeight="1" thickBot="1">
      <c r="C40" s="8"/>
    </row>
    <row r="41" spans="2:6" ht="17.25" customHeight="1" thickBot="1">
      <c r="B41" s="37" t="s">
        <v>43</v>
      </c>
      <c r="C41" s="36">
        <v>48.6</v>
      </c>
      <c r="D41" s="37" t="s">
        <v>44</v>
      </c>
      <c r="F41" s="38"/>
    </row>
    <row r="42" ht="14.25" customHeight="1">
      <c r="F42" s="38" t="s">
        <v>45</v>
      </c>
    </row>
    <row r="45" ht="18">
      <c r="B45" s="86" t="s">
        <v>89</v>
      </c>
    </row>
    <row r="46" ht="18">
      <c r="B46" s="39"/>
    </row>
    <row r="47" spans="3:4" ht="12.75">
      <c r="C47" s="101" t="s">
        <v>64</v>
      </c>
      <c r="D47" s="79"/>
    </row>
    <row r="48" spans="2:4" ht="15.75">
      <c r="B48" s="105" t="s">
        <v>96</v>
      </c>
      <c r="C48" s="106">
        <f>C53*1.3</f>
        <v>1170</v>
      </c>
      <c r="D48" s="57"/>
    </row>
    <row r="49" spans="2:6" ht="16.5" thickBot="1">
      <c r="B49" s="1" t="s">
        <v>8</v>
      </c>
      <c r="C49" s="1">
        <f>ROUND($C$48*($C$37/100),0.2)</f>
        <v>157</v>
      </c>
      <c r="F49" s="40" t="s">
        <v>62</v>
      </c>
    </row>
    <row r="50" spans="2:6" ht="16.5" thickBot="1">
      <c r="B50" s="1" t="s">
        <v>12</v>
      </c>
      <c r="C50" s="88">
        <f>$F$50/12</f>
        <v>303.71999999999997</v>
      </c>
      <c r="D50" s="37" t="s">
        <v>46</v>
      </c>
      <c r="F50" s="89">
        <v>3644.64</v>
      </c>
    </row>
    <row r="51" spans="2:3" ht="12.75">
      <c r="B51" s="1" t="s">
        <v>13</v>
      </c>
      <c r="C51" s="1">
        <f>$C$48-$C$49-$C$50</f>
        <v>709.28</v>
      </c>
    </row>
    <row r="52" spans="2:3" ht="13.5" thickBot="1">
      <c r="B52" s="1" t="s">
        <v>14</v>
      </c>
      <c r="C52" s="120">
        <f>ROUND($C$51*0.19,0.2)</f>
        <v>135</v>
      </c>
    </row>
    <row r="53" spans="2:3" ht="16.5" thickBot="1">
      <c r="B53" s="121" t="s">
        <v>92</v>
      </c>
      <c r="C53" s="118">
        <v>900</v>
      </c>
    </row>
    <row r="54" spans="2:3" ht="12.75">
      <c r="B54" s="2" t="s">
        <v>86</v>
      </c>
      <c r="C54" s="2">
        <f>C48*1.35</f>
        <v>1579.5</v>
      </c>
    </row>
    <row r="55" spans="2:4" ht="12.75">
      <c r="B55" s="57" t="s">
        <v>94</v>
      </c>
      <c r="C55" s="102" t="s">
        <v>72</v>
      </c>
      <c r="D55" s="78" t="s">
        <v>15</v>
      </c>
    </row>
    <row r="56" spans="2:5" ht="15.75">
      <c r="B56" s="105" t="s">
        <v>97</v>
      </c>
      <c r="C56" s="106">
        <f>C62*1.3</f>
        <v>2860</v>
      </c>
      <c r="D56" s="43">
        <f>D61+D29+D30+D60</f>
        <v>48841.2684</v>
      </c>
      <c r="E56" s="57" t="s">
        <v>74</v>
      </c>
    </row>
    <row r="57" spans="2:6" ht="12.75">
      <c r="B57" s="1" t="s">
        <v>8</v>
      </c>
      <c r="C57" s="1">
        <f>ROUND($C$56*($C$37/100),0.2)</f>
        <v>383</v>
      </c>
      <c r="D57" s="1">
        <f>D24</f>
        <v>23736.8564424</v>
      </c>
      <c r="E57" s="51" t="s">
        <v>75</v>
      </c>
      <c r="F57" s="71" t="s">
        <v>76</v>
      </c>
    </row>
    <row r="58" spans="2:5" ht="12.75">
      <c r="B58" s="1" t="s">
        <v>12</v>
      </c>
      <c r="C58" s="88">
        <f>$F$50/12</f>
        <v>303.71999999999997</v>
      </c>
      <c r="D58" s="90">
        <f>F50</f>
        <v>3644.64</v>
      </c>
      <c r="E58" s="37" t="s">
        <v>47</v>
      </c>
    </row>
    <row r="59" spans="2:5" ht="12.75">
      <c r="B59" s="1" t="s">
        <v>13</v>
      </c>
      <c r="C59" s="1">
        <f>$C$56-$C$57-$C$58</f>
        <v>2173.28</v>
      </c>
      <c r="D59" s="1">
        <f>D56-D58</f>
        <v>45196.6284</v>
      </c>
      <c r="E59" s="57" t="s">
        <v>78</v>
      </c>
    </row>
    <row r="60" spans="2:6" ht="12.75">
      <c r="B60" s="1" t="s">
        <v>14</v>
      </c>
      <c r="C60" s="1">
        <f>ROUND($C$59*0.19,0.2)</f>
        <v>413</v>
      </c>
      <c r="D60" s="1">
        <f>0.19*(D61+D29+D30-D58)</f>
        <v>7216.2684</v>
      </c>
      <c r="E60" s="57" t="s">
        <v>77</v>
      </c>
      <c r="F60" s="42" t="s">
        <v>48</v>
      </c>
    </row>
    <row r="61" spans="2:5" ht="16.5" thickBot="1">
      <c r="B61" s="41"/>
      <c r="C61" s="117"/>
      <c r="D61" s="2">
        <f>D62*12</f>
        <v>26400</v>
      </c>
      <c r="E61" s="37" t="s">
        <v>49</v>
      </c>
    </row>
    <row r="62" spans="2:5" ht="16.5" thickBot="1">
      <c r="B62" s="121" t="s">
        <v>91</v>
      </c>
      <c r="C62" s="119">
        <v>2200</v>
      </c>
      <c r="D62" s="81">
        <f>C62</f>
        <v>2200</v>
      </c>
      <c r="E62" s="43" t="s">
        <v>79</v>
      </c>
    </row>
    <row r="63" spans="2:6" ht="12.75">
      <c r="B63" s="100" t="s">
        <v>87</v>
      </c>
      <c r="C63" s="2">
        <f>C56*1.35</f>
        <v>3861.0000000000005</v>
      </c>
      <c r="E63" s="57"/>
      <c r="F63" s="10"/>
    </row>
    <row r="64" spans="2:5" ht="13.5" thickBot="1">
      <c r="B64" s="57" t="s">
        <v>95</v>
      </c>
      <c r="D64" s="19"/>
      <c r="E64" s="19"/>
    </row>
    <row r="65" spans="2:3" ht="16.5" thickBot="1">
      <c r="B65" s="103" t="s">
        <v>90</v>
      </c>
      <c r="C65" s="112">
        <f>C54+C63</f>
        <v>5440.5</v>
      </c>
    </row>
    <row r="66" ht="12.75">
      <c r="B66" s="57" t="s">
        <v>93</v>
      </c>
    </row>
    <row r="68" spans="2:6" ht="18">
      <c r="B68" s="86"/>
      <c r="E68" s="12"/>
      <c r="F68" s="10"/>
    </row>
    <row r="69" spans="2:6" ht="12.75">
      <c r="B69" s="45"/>
      <c r="D69" s="12"/>
      <c r="E69" s="128"/>
      <c r="F69" s="85"/>
    </row>
    <row r="70" spans="4:8" ht="12.75">
      <c r="D70" s="72"/>
      <c r="E70" s="129"/>
      <c r="G70" s="2"/>
      <c r="H70" s="2"/>
    </row>
    <row r="71" spans="2:7" ht="18">
      <c r="B71" s="86" t="s">
        <v>115</v>
      </c>
      <c r="C71" s="12"/>
      <c r="E71" s="136" t="s">
        <v>54</v>
      </c>
      <c r="F71" s="137" t="s">
        <v>32</v>
      </c>
      <c r="G71" s="57"/>
    </row>
    <row r="72" spans="2:9" ht="12.75">
      <c r="B72" s="51"/>
      <c r="C72" s="12"/>
      <c r="E72" s="15"/>
      <c r="I72" s="2"/>
    </row>
    <row r="73" spans="2:9" ht="13.5" thickBot="1">
      <c r="B73" s="13"/>
      <c r="C73" s="12"/>
      <c r="E73" s="52"/>
      <c r="I73" s="2"/>
    </row>
    <row r="74" spans="2:6" ht="17.25" thickBot="1" thickTop="1">
      <c r="B74" s="53" t="s">
        <v>55</v>
      </c>
      <c r="D74" s="44"/>
      <c r="E74" s="107">
        <v>94500</v>
      </c>
      <c r="F74" s="54"/>
    </row>
    <row r="75" spans="2:6" ht="13.5" thickTop="1">
      <c r="B75" s="55" t="s">
        <v>104</v>
      </c>
      <c r="F75" s="10"/>
    </row>
    <row r="76" spans="2:6" ht="15.75">
      <c r="B76" s="56" t="s">
        <v>105</v>
      </c>
      <c r="E76" s="145">
        <f>C32/E74</f>
        <v>1.225436507936508</v>
      </c>
      <c r="F76" s="145">
        <f>D32/E74</f>
        <v>1.3114510565333333</v>
      </c>
    </row>
    <row r="77" spans="2:6" ht="12.75">
      <c r="B77" s="57" t="s">
        <v>88</v>
      </c>
      <c r="C77" s="16"/>
      <c r="F77" s="10"/>
    </row>
    <row r="78" spans="1:6" ht="12.75">
      <c r="A78" s="11"/>
      <c r="B78" s="130"/>
      <c r="F78" s="10"/>
    </row>
    <row r="79" spans="1:6" ht="18">
      <c r="A79" s="11"/>
      <c r="B79" s="86" t="s">
        <v>116</v>
      </c>
      <c r="E79" s="14"/>
      <c r="F79" s="10"/>
    </row>
    <row r="80" ht="13.5" thickBot="1"/>
    <row r="81" spans="2:6" ht="16.5" thickBot="1">
      <c r="B81" s="122" t="s">
        <v>106</v>
      </c>
      <c r="E81" s="123" t="s">
        <v>107</v>
      </c>
      <c r="F81" s="58"/>
    </row>
    <row r="82" spans="2:5" ht="17.25" thickBot="1" thickTop="1">
      <c r="B82" s="53" t="s">
        <v>17</v>
      </c>
      <c r="D82" s="44"/>
      <c r="E82" s="107">
        <v>180</v>
      </c>
    </row>
    <row r="83" spans="1:5" ht="17.25" thickBot="1" thickTop="1">
      <c r="A83" s="11"/>
      <c r="B83" s="53" t="s">
        <v>18</v>
      </c>
      <c r="D83" s="44"/>
      <c r="E83" s="107">
        <v>15</v>
      </c>
    </row>
    <row r="84" spans="1:5" ht="17.25" thickBot="1" thickTop="1">
      <c r="A84" s="11"/>
      <c r="B84" s="53" t="s">
        <v>56</v>
      </c>
      <c r="D84" s="44"/>
      <c r="E84" s="131">
        <v>1</v>
      </c>
    </row>
    <row r="85" ht="13.5" thickTop="1">
      <c r="A85" s="11"/>
    </row>
    <row r="86" spans="1:6" ht="15.75">
      <c r="A86" s="11"/>
      <c r="B86" s="124" t="s">
        <v>57</v>
      </c>
      <c r="E86" s="146">
        <f>($E$83*$E$76)+$E$84</f>
        <v>19.38154761904762</v>
      </c>
      <c r="F86" s="145">
        <f>E83*F76+E84</f>
        <v>20.671765848</v>
      </c>
    </row>
    <row r="87" spans="2:6" ht="12.75">
      <c r="B87" s="59" t="s">
        <v>108</v>
      </c>
      <c r="C87"/>
      <c r="D87"/>
      <c r="E87"/>
      <c r="F87"/>
    </row>
    <row r="88" spans="2:6" ht="12.75">
      <c r="B88" s="59"/>
      <c r="C88"/>
      <c r="D88"/>
      <c r="E88"/>
      <c r="F88"/>
    </row>
    <row r="89" spans="2:6" ht="15.75">
      <c r="B89" s="60" t="s">
        <v>58</v>
      </c>
      <c r="C89" s="11"/>
      <c r="D89" s="11"/>
      <c r="E89" s="147">
        <f>$E$86/$E$82</f>
        <v>0.10767526455026455</v>
      </c>
      <c r="F89" s="145">
        <f>ROUND($F$86/$E$82,9)</f>
        <v>0.114843144</v>
      </c>
    </row>
    <row r="90" spans="2:6" ht="15">
      <c r="B90" s="61" t="s">
        <v>109</v>
      </c>
      <c r="C90" s="11"/>
      <c r="D90" s="11"/>
      <c r="E90" s="62"/>
      <c r="F90" s="17"/>
    </row>
    <row r="91" spans="2:6" ht="15.75">
      <c r="B91" s="125"/>
      <c r="C91"/>
      <c r="D91"/>
      <c r="E91"/>
      <c r="F91"/>
    </row>
    <row r="92" spans="2:6" ht="18">
      <c r="B92" s="87" t="s">
        <v>117</v>
      </c>
      <c r="C92"/>
      <c r="D92"/>
      <c r="E92"/>
      <c r="F92"/>
    </row>
    <row r="93" spans="2:6" ht="18">
      <c r="B93" s="63"/>
      <c r="C93"/>
      <c r="D93"/>
      <c r="E93"/>
      <c r="F93"/>
    </row>
    <row r="94" spans="2:6" ht="17.25">
      <c r="B94" s="126"/>
      <c r="C94"/>
      <c r="D94"/>
      <c r="E94" s="138" t="s">
        <v>59</v>
      </c>
      <c r="F94" s="139" t="s">
        <v>32</v>
      </c>
    </row>
    <row r="95" spans="2:6" ht="17.25">
      <c r="B95" s="126"/>
      <c r="C95"/>
      <c r="D95"/>
      <c r="E95" s="127"/>
      <c r="F95" s="127"/>
    </row>
    <row r="96" spans="2:6" ht="16.5" thickBot="1">
      <c r="B96" s="64" t="s">
        <v>110</v>
      </c>
      <c r="C96"/>
      <c r="D96"/>
      <c r="E96" s="134">
        <f>C32</f>
        <v>115803.75</v>
      </c>
      <c r="F96" s="134">
        <f>D32</f>
        <v>123932.1248424</v>
      </c>
    </row>
    <row r="97" spans="2:6" ht="17.25" thickBot="1" thickTop="1">
      <c r="B97" s="98" t="s">
        <v>111</v>
      </c>
      <c r="C97"/>
      <c r="D97" s="73"/>
      <c r="E97" s="132">
        <v>200000</v>
      </c>
      <c r="F97" s="133">
        <v>200000</v>
      </c>
    </row>
    <row r="98" spans="2:6" ht="16.5" thickTop="1">
      <c r="B98" s="9" t="s">
        <v>112</v>
      </c>
      <c r="C98"/>
      <c r="D98"/>
      <c r="E98" s="135">
        <f>E97*12</f>
        <v>2400000</v>
      </c>
      <c r="F98" s="135">
        <f>F97*12</f>
        <v>2400000</v>
      </c>
    </row>
    <row r="99" spans="2:6" ht="17.25">
      <c r="B99" s="126"/>
      <c r="C99"/>
      <c r="D99"/>
      <c r="E99"/>
      <c r="F99"/>
    </row>
    <row r="100" spans="2:6" ht="15.75">
      <c r="B100" s="65" t="s">
        <v>113</v>
      </c>
      <c r="C100"/>
      <c r="D100"/>
      <c r="E100" s="147">
        <f>E96/E98</f>
        <v>0.0482515625</v>
      </c>
      <c r="F100" s="148">
        <f>F96/F98</f>
        <v>0.051638385350999995</v>
      </c>
    </row>
    <row r="101" spans="2:6" ht="12.75">
      <c r="B101" s="66" t="s">
        <v>114</v>
      </c>
      <c r="C101"/>
      <c r="D101"/>
      <c r="E101"/>
      <c r="F101"/>
    </row>
    <row r="103" ht="18">
      <c r="B103" s="87" t="s">
        <v>118</v>
      </c>
    </row>
    <row r="104" spans="1:2" ht="12.75">
      <c r="A104" s="74"/>
      <c r="B104" s="1" t="s">
        <v>85</v>
      </c>
    </row>
    <row r="105" ht="12.75">
      <c r="B105" s="57" t="s">
        <v>119</v>
      </c>
    </row>
    <row r="106" spans="2:4" ht="12.75">
      <c r="B106" s="54"/>
      <c r="C106" s="72"/>
      <c r="D106" s="72"/>
    </row>
    <row r="107" spans="2:4" ht="12.75">
      <c r="B107" s="75"/>
      <c r="C107" s="76"/>
      <c r="D107" s="77"/>
    </row>
    <row r="108" spans="2:4" ht="12.75">
      <c r="B108" s="75"/>
      <c r="C108" s="72"/>
      <c r="D108" s="77"/>
    </row>
    <row r="109" spans="2:4" ht="12.75">
      <c r="B109" s="75"/>
      <c r="C109" s="72"/>
      <c r="D109" s="77"/>
    </row>
    <row r="110" spans="2:4" ht="12.75">
      <c r="B110" s="75"/>
      <c r="C110" s="72"/>
      <c r="D110" s="77"/>
    </row>
    <row r="111" spans="2:4" ht="12.75">
      <c r="B111" s="75"/>
      <c r="C111" s="72"/>
      <c r="D111" s="77"/>
    </row>
    <row r="112" spans="2:4" ht="12.75">
      <c r="B112" s="75"/>
      <c r="C112" s="72"/>
      <c r="D112" s="77"/>
    </row>
    <row r="113" spans="2:4" ht="12.75">
      <c r="B113" s="75"/>
      <c r="C113" s="72"/>
      <c r="D113" s="77"/>
    </row>
    <row r="114" spans="2:4" ht="12.75">
      <c r="B114" s="75"/>
      <c r="C114" s="72"/>
      <c r="D114" s="77"/>
    </row>
    <row r="115" spans="2:4" ht="12.75">
      <c r="B115" s="75"/>
      <c r="C115" s="72"/>
      <c r="D115" s="77"/>
    </row>
    <row r="116" spans="2:4" ht="12.75">
      <c r="B116" s="75"/>
      <c r="C116" s="72"/>
      <c r="D116" s="77"/>
    </row>
    <row r="117" spans="2:4" ht="12.75">
      <c r="B117" s="75"/>
      <c r="C117" s="72"/>
      <c r="D117" s="77"/>
    </row>
    <row r="118" spans="2:4" ht="12.75">
      <c r="B118" s="75"/>
      <c r="C118" s="72"/>
      <c r="D118" s="77"/>
    </row>
    <row r="122" ht="18">
      <c r="B122" s="87" t="s">
        <v>121</v>
      </c>
    </row>
    <row r="123" ht="12.75">
      <c r="B123" s="57" t="s">
        <v>85</v>
      </c>
    </row>
    <row r="124" ht="12.75">
      <c r="B124" s="57" t="s">
        <v>81</v>
      </c>
    </row>
    <row r="125" ht="12.75">
      <c r="B125" s="57"/>
    </row>
    <row r="126" ht="12.75">
      <c r="B126" s="57"/>
    </row>
    <row r="127" ht="12.75">
      <c r="B127" s="57"/>
    </row>
    <row r="128" ht="12.75">
      <c r="B128" s="43"/>
    </row>
    <row r="129" ht="12.75">
      <c r="B129" s="57"/>
    </row>
    <row r="130" ht="12.75">
      <c r="B130" s="2"/>
    </row>
  </sheetData>
  <sheetProtection/>
  <hyperlinks>
    <hyperlink ref="F2" r:id="rId1" display="lipp@pobox.sk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Erika Moricova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erika, tomas, peter</dc:creator>
  <cp:keywords/>
  <dc:description/>
  <cp:lastModifiedBy>MUDr. Peter Lipták</cp:lastModifiedBy>
  <cp:lastPrinted>2017-08-11T07:51:22Z</cp:lastPrinted>
  <dcterms:created xsi:type="dcterms:W3CDTF">2007-01-14T21:23:17Z</dcterms:created>
  <dcterms:modified xsi:type="dcterms:W3CDTF">2018-02-21T21:07:23Z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